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KCullum\Documents\Personal\Aviation General\Trimsheets\"/>
    </mc:Choice>
  </mc:AlternateContent>
  <xr:revisionPtr revIDLastSave="0" documentId="13_ncr:1_{621C9F7E-2498-46FF-BFF1-E8B0EBA14BA4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G-SUEI" sheetId="1" r:id="rId1"/>
  </sheets>
  <definedNames>
    <definedName name="_xlnm.Print_Area" localSheetId="0">'G-SUEI'!$A$1:$Q$39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C33" i="1"/>
  <c r="D33" i="1"/>
  <c r="F47" i="1"/>
  <c r="F5" i="1"/>
  <c r="F7" i="1"/>
  <c r="F8" i="1"/>
  <c r="F10" i="1"/>
  <c r="F11" i="1"/>
  <c r="F13" i="1"/>
  <c r="F14" i="1"/>
  <c r="F15" i="1"/>
  <c r="F17" i="1"/>
  <c r="D19" i="1"/>
  <c r="D20" i="1"/>
  <c r="F20" i="1" s="1"/>
  <c r="D22" i="1"/>
  <c r="F22" i="1"/>
  <c r="D23" i="1"/>
  <c r="F23" i="1"/>
  <c r="D28" i="1"/>
  <c r="F28" i="1"/>
  <c r="E44" i="1"/>
  <c r="F44" i="1"/>
  <c r="C35" i="1"/>
  <c r="B35" i="1"/>
  <c r="B34" i="1"/>
  <c r="F19" i="1"/>
  <c r="F36" i="1" s="1"/>
  <c r="E36" i="1" s="1"/>
  <c r="E19" i="1"/>
  <c r="D25" i="1"/>
  <c r="F33" i="1"/>
  <c r="D30" i="1"/>
  <c r="D31" i="1" s="1"/>
  <c r="D26" i="1"/>
  <c r="F26" i="1" s="1"/>
  <c r="D36" i="1"/>
  <c r="D37" i="1"/>
  <c r="E37" i="1" s="1"/>
  <c r="A32" i="1"/>
  <c r="B32" i="1"/>
  <c r="E26" i="1" l="1"/>
  <c r="E31" i="1"/>
  <c r="F31" i="1"/>
  <c r="C32" i="1"/>
  <c r="F37" i="1"/>
  <c r="F25" i="1"/>
  <c r="E20" i="1"/>
  <c r="F30" i="1" l="1"/>
  <c r="E30" i="1" s="1"/>
  <c r="E25" i="1"/>
</calcChain>
</file>

<file path=xl/sharedStrings.xml><?xml version="1.0" encoding="utf-8"?>
<sst xmlns="http://schemas.openxmlformats.org/spreadsheetml/2006/main" count="57" uniqueCount="50">
  <si>
    <t>Weight &amp; Balance</t>
  </si>
  <si>
    <t>Basic</t>
  </si>
  <si>
    <t>Crew</t>
  </si>
  <si>
    <t>Pilot</t>
  </si>
  <si>
    <t>Co-Pilot</t>
  </si>
  <si>
    <t>Pax 1</t>
  </si>
  <si>
    <t>Pax 2</t>
  </si>
  <si>
    <t>Baggage</t>
  </si>
  <si>
    <t>st</t>
  </si>
  <si>
    <t>lb</t>
  </si>
  <si>
    <t>From</t>
  </si>
  <si>
    <t>to</t>
  </si>
  <si>
    <t>kg</t>
  </si>
  <si>
    <t>Take-Off Weight</t>
  </si>
  <si>
    <t>Rear Pax</t>
  </si>
  <si>
    <t>(lb) to</t>
  </si>
  <si>
    <t>Weight Conversion</t>
  </si>
  <si>
    <t>Moment</t>
  </si>
  <si>
    <t>DA42</t>
  </si>
  <si>
    <t>G-SUEI</t>
  </si>
  <si>
    <t>Kgs</t>
  </si>
  <si>
    <t>Arm</t>
  </si>
  <si>
    <t>De-Icing</t>
  </si>
  <si>
    <t>Nose</t>
  </si>
  <si>
    <t>Lts</t>
  </si>
  <si>
    <t>Landing Weight</t>
  </si>
  <si>
    <t>Max 30kg</t>
  </si>
  <si>
    <t>Max 45kg</t>
  </si>
  <si>
    <t>Ramp Weight</t>
  </si>
  <si>
    <t>Taxiing</t>
  </si>
  <si>
    <t xml:space="preserve">lts </t>
  </si>
  <si>
    <t xml:space="preserve">Main (189lt): </t>
  </si>
  <si>
    <t xml:space="preserve">Aux (98lt): </t>
  </si>
  <si>
    <t>Flight time: Hrs</t>
  </si>
  <si>
    <t>Fuel (usable)</t>
  </si>
  <si>
    <t>Zero Fuel Weight</t>
  </si>
  <si>
    <t>Mass/Balance Envelope</t>
  </si>
  <si>
    <t>Landing CofG calculation assumes all auxilliary fuel has been transferred to the main tanks prior to landing.</t>
  </si>
  <si>
    <t>Date of Flight :</t>
  </si>
  <si>
    <t>Max 30 lts @ 1.1kg/lt</t>
  </si>
  <si>
    <t>Time &amp; Fuel Left</t>
  </si>
  <si>
    <t>@ 42 lts/hr</t>
  </si>
  <si>
    <t>Warns when less than 45 mins fuel remains</t>
  </si>
  <si>
    <t>Max (kg) :</t>
  </si>
  <si>
    <t xml:space="preserve">Total: </t>
  </si>
  <si>
    <t>Combined Baggage &amp; Ext 45kg</t>
  </si>
  <si>
    <t>Max 18kg</t>
  </si>
  <si>
    <t>Extension</t>
  </si>
  <si>
    <t>The consumption of fuel causes a forward movement of the CG. The consumption of de-icing fluid causes a rearward movement of the CG. Depending on the fuel flow and de-icing fluid flow, the overall movement of the CG can be a forward or a rearward movement. In order to cover all possible cases, this W&amp;B table must be completed twice with and without considering the on-board de-icing fluid. All four CG positions (fuel tank full/empty, de-icing fluid tank full/empty) must fall into the permitted area.</t>
  </si>
  <si>
    <t>v4.5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</si>
</sst>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0.0"/>
    <numFmt numFmtId="167" formatCode="0.0%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3" fontId="0" fillId="0" borderId="0" xfId="0" applyNumberFormat="1" applyBorder="1" applyAlignment="1">
      <alignment horizontal="center"/>
    </xf>
    <xf numFmtId="0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3" fontId="3" fillId="0" borderId="2" xfId="0" applyNumberFormat="1" applyFont="1" applyBorder="1"/>
    <xf numFmtId="3" fontId="0" fillId="0" borderId="3" xfId="0" applyNumberFormat="1" applyBorder="1"/>
    <xf numFmtId="3" fontId="1" fillId="0" borderId="4" xfId="0" applyNumberFormat="1" applyFont="1" applyBorder="1" applyAlignment="1">
      <alignment horizontal="center"/>
    </xf>
    <xf numFmtId="166" fontId="1" fillId="0" borderId="5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3" fontId="3" fillId="0" borderId="2" xfId="0" applyNumberFormat="1" applyFont="1" applyBorder="1" applyAlignment="1"/>
    <xf numFmtId="3" fontId="0" fillId="0" borderId="3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3" fontId="1" fillId="0" borderId="0" xfId="0" applyNumberFormat="1" applyFont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2" xfId="0" applyFont="1" applyBorder="1" applyAlignment="1">
      <alignment vertical="center"/>
    </xf>
    <xf numFmtId="3" fontId="3" fillId="0" borderId="4" xfId="0" applyNumberFormat="1" applyFont="1" applyBorder="1"/>
    <xf numFmtId="3" fontId="0" fillId="0" borderId="6" xfId="0" applyNumberFormat="1" applyBorder="1"/>
    <xf numFmtId="3" fontId="3" fillId="0" borderId="4" xfId="0" applyNumberFormat="1" applyFont="1" applyBorder="1" applyAlignment="1"/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5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10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/>
    </xf>
    <xf numFmtId="164" fontId="5" fillId="0" borderId="1" xfId="0" applyNumberFormat="1" applyFont="1" applyBorder="1" applyAlignment="1">
      <alignment horizontal="left" vertical="center"/>
    </xf>
    <xf numFmtId="4" fontId="1" fillId="3" borderId="9" xfId="0" applyNumberFormat="1" applyFont="1" applyFill="1" applyBorder="1" applyAlignment="1">
      <alignment vertical="center"/>
    </xf>
    <xf numFmtId="4" fontId="1" fillId="4" borderId="9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7" xfId="0" applyNumberFormat="1" applyFont="1" applyFill="1" applyBorder="1" applyAlignment="1" applyProtection="1">
      <alignment horizontal="center" vertical="center"/>
      <protection locked="0"/>
    </xf>
    <xf numFmtId="3" fontId="1" fillId="4" borderId="9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166" fontId="0" fillId="0" borderId="0" xfId="0" applyNumberFormat="1" applyBorder="1" applyAlignment="1">
      <alignment horizontal="right" vertical="center"/>
    </xf>
    <xf numFmtId="4" fontId="1" fillId="2" borderId="11" xfId="0" applyNumberFormat="1" applyFont="1" applyFill="1" applyBorder="1" applyAlignment="1">
      <alignment vertical="center"/>
    </xf>
    <xf numFmtId="167" fontId="0" fillId="0" borderId="2" xfId="0" applyNumberFormat="1" applyBorder="1" applyAlignment="1">
      <alignment horizontal="right" vertical="center"/>
    </xf>
    <xf numFmtId="164" fontId="5" fillId="0" borderId="2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4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/>
    </xf>
    <xf numFmtId="3" fontId="2" fillId="0" borderId="10" xfId="0" quotePrefix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5" fontId="0" fillId="0" borderId="1" xfId="0" applyNumberForma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3" fontId="1" fillId="3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3" borderId="9" xfId="0" applyNumberFormat="1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0" fillId="0" borderId="8" xfId="0" applyNumberForma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1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4" fontId="1" fillId="4" borderId="15" xfId="0" applyNumberFormat="1" applyFont="1" applyFill="1" applyBorder="1" applyAlignment="1" applyProtection="1">
      <alignment horizontal="center" vertical="center"/>
      <protection locked="0"/>
    </xf>
    <xf numFmtId="14" fontId="1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8" xfId="0" applyBorder="1" applyAlignment="1">
      <alignment vertical="center"/>
    </xf>
    <xf numFmtId="3" fontId="8" fillId="0" borderId="18" xfId="0" applyNumberFormat="1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4" fontId="6" fillId="0" borderId="19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1" xfId="0" applyBorder="1" applyAlignment="1">
      <alignment vertical="center"/>
    </xf>
  </cellXfs>
  <cellStyles count="1">
    <cellStyle name="Normal" xfId="0" builtinId="0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Mass / C of G Envelope</a:t>
            </a:r>
          </a:p>
        </c:rich>
      </c:tx>
      <c:layout>
        <c:manualLayout>
          <c:xMode val="edge"/>
          <c:yMode val="edge"/>
          <c:x val="0.32206762585738591"/>
          <c:y val="8.0104855149066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2365805168986"/>
          <c:y val="4.8064085447263018E-2"/>
          <c:w val="0.84095427435387671"/>
          <c:h val="0.85981308411214952"/>
        </c:manualLayout>
      </c:layout>
      <c:scatterChart>
        <c:scatterStyle val="lineMarker"/>
        <c:varyColors val="0"/>
        <c:ser>
          <c:idx val="0"/>
          <c:order val="0"/>
          <c:tx>
            <c:v>Zero Fuel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'G-SUEI'!$E$19</c:f>
              <c:numCache>
                <c:formatCode>#,##0.00</c:formatCode>
                <c:ptCount val="1"/>
                <c:pt idx="0">
                  <c:v>2.3986205016357687</c:v>
                </c:pt>
              </c:numCache>
            </c:numRef>
          </c:xVal>
          <c:yVal>
            <c:numRef>
              <c:f>'G-SUEI'!$D$19</c:f>
              <c:numCache>
                <c:formatCode>#,##0.00</c:formatCode>
                <c:ptCount val="1"/>
                <c:pt idx="0">
                  <c:v>1375.5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EA-4540-AA56-2A1555A72014}"/>
            </c:ext>
          </c:extLst>
        </c:ser>
        <c:ser>
          <c:idx val="1"/>
          <c:order val="1"/>
          <c:tx>
            <c:v>Take-Off</c:v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'G-SUEI'!$E$30</c:f>
              <c:numCache>
                <c:formatCode>#,##0.00</c:formatCode>
                <c:ptCount val="1"/>
                <c:pt idx="0">
                  <c:v>2.4209880475471199</c:v>
                </c:pt>
              </c:numCache>
            </c:numRef>
          </c:xVal>
          <c:yVal>
            <c:numRef>
              <c:f>'G-SUEI'!$D$30</c:f>
              <c:numCache>
                <c:formatCode>#,##0.00</c:formatCode>
                <c:ptCount val="1"/>
                <c:pt idx="0">
                  <c:v>1522.7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EA-4540-AA56-2A1555A72014}"/>
            </c:ext>
          </c:extLst>
        </c:ser>
        <c:ser>
          <c:idx val="3"/>
          <c:order val="2"/>
          <c:tx>
            <c:v>Landing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'G-SUEI'!$E$36</c:f>
              <c:numCache>
                <c:formatCode>#,##0.00</c:formatCode>
                <c:ptCount val="1"/>
                <c:pt idx="0">
                  <c:v>2.4209880475471199</c:v>
                </c:pt>
              </c:numCache>
            </c:numRef>
          </c:xVal>
          <c:yVal>
            <c:numRef>
              <c:f>'G-SUEI'!$D$36</c:f>
              <c:numCache>
                <c:formatCode>#,##0.00</c:formatCode>
                <c:ptCount val="1"/>
                <c:pt idx="0">
                  <c:v>1522.7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EA-4540-AA56-2A1555A72014}"/>
            </c:ext>
          </c:extLst>
        </c:ser>
        <c:ser>
          <c:idx val="2"/>
          <c:order val="3"/>
          <c:tx>
            <c:v>Envelope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'G-SUEI'!$J$15:$J$20</c:f>
              <c:numCache>
                <c:formatCode>General</c:formatCode>
                <c:ptCount val="6"/>
                <c:pt idx="0">
                  <c:v>2.35</c:v>
                </c:pt>
                <c:pt idx="1">
                  <c:v>2.35</c:v>
                </c:pt>
                <c:pt idx="2">
                  <c:v>2.4</c:v>
                </c:pt>
                <c:pt idx="3">
                  <c:v>2.4900000000000002</c:v>
                </c:pt>
                <c:pt idx="4">
                  <c:v>2.4900000000000002</c:v>
                </c:pt>
                <c:pt idx="5">
                  <c:v>2.42</c:v>
                </c:pt>
              </c:numCache>
            </c:numRef>
          </c:xVal>
          <c:yVal>
            <c:numRef>
              <c:f>'G-SUEI'!$K$15:$K$20</c:f>
              <c:numCache>
                <c:formatCode>General</c:formatCode>
                <c:ptCount val="6"/>
                <c:pt idx="0">
                  <c:v>1250</c:v>
                </c:pt>
                <c:pt idx="1">
                  <c:v>1468</c:v>
                </c:pt>
                <c:pt idx="2">
                  <c:v>1785</c:v>
                </c:pt>
                <c:pt idx="3">
                  <c:v>1785</c:v>
                </c:pt>
                <c:pt idx="4">
                  <c:v>1600</c:v>
                </c:pt>
                <c:pt idx="5">
                  <c:v>1250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EA-4540-AA56-2A1555A7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3321743"/>
        <c:axId val="1"/>
      </c:scatterChart>
      <c:valAx>
        <c:axId val="1723321743"/>
        <c:scaling>
          <c:orientation val="minMax"/>
          <c:max val="2.5"/>
          <c:min val="2.2999999999999998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 of G Arm (m)</a:t>
                </a:r>
              </a:p>
            </c:rich>
          </c:tx>
          <c:layout>
            <c:manualLayout>
              <c:xMode val="edge"/>
              <c:yMode val="edge"/>
              <c:x val="0.45725644833223106"/>
              <c:y val="0.93858465307896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1250"/>
        <c:crossBetween val="midCat"/>
        <c:majorUnit val="0.02"/>
        <c:minorUnit val="5.0000000000000001E-3"/>
      </c:valAx>
      <c:valAx>
        <c:axId val="1"/>
        <c:scaling>
          <c:orientation val="minMax"/>
          <c:max val="1900"/>
          <c:min val="1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Mass (kg)</a:t>
                </a:r>
              </a:p>
            </c:rich>
          </c:tx>
          <c:layout>
            <c:manualLayout>
              <c:xMode val="edge"/>
              <c:yMode val="edge"/>
              <c:x val="1.1928405938164226E-2"/>
              <c:y val="0.439252314288819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23321743"/>
        <c:crosses val="autoZero"/>
        <c:crossBetween val="midCat"/>
        <c:majorUnit val="100"/>
        <c:minorUnit val="5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89070799589039"/>
          <c:y val="0.96662234033794714"/>
          <c:w val="0.671968254364401"/>
          <c:h val="2.937248276838666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2</xdr:row>
      <xdr:rowOff>19050</xdr:rowOff>
    </xdr:from>
    <xdr:to>
      <xdr:col>16</xdr:col>
      <xdr:colOff>561975</xdr:colOff>
      <xdr:row>37</xdr:row>
      <xdr:rowOff>295275</xdr:rowOff>
    </xdr:to>
    <xdr:graphicFrame macro="">
      <xdr:nvGraphicFramePr>
        <xdr:cNvPr id="1302" name="Chart 2">
          <a:extLst>
            <a:ext uri="{FF2B5EF4-FFF2-40B4-BE49-F238E27FC236}">
              <a16:creationId xmlns:a16="http://schemas.microsoft.com/office/drawing/2014/main" id="{26649DB4-9CC8-810D-C935-9765C463B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152400</xdr:colOff>
      <xdr:row>18</xdr:row>
      <xdr:rowOff>161925</xdr:rowOff>
    </xdr:to>
    <xdr:sp macro="" textlink="">
      <xdr:nvSpPr>
        <xdr:cNvPr id="1303" name="AutoShape 3">
          <a:extLst>
            <a:ext uri="{FF2B5EF4-FFF2-40B4-BE49-F238E27FC236}">
              <a16:creationId xmlns:a16="http://schemas.microsoft.com/office/drawing/2014/main" id="{330A4358-2649-FA80-54D8-1BCCAFDA6480}"/>
            </a:ext>
          </a:extLst>
        </xdr:cNvPr>
        <xdr:cNvSpPr>
          <a:spLocks noChangeArrowheads="1"/>
        </xdr:cNvSpPr>
      </xdr:nvSpPr>
      <xdr:spPr bwMode="auto">
        <a:xfrm>
          <a:off x="3933825" y="3705225"/>
          <a:ext cx="104775" cy="114300"/>
        </a:xfrm>
        <a:prstGeom prst="flowChartDecision">
          <a:avLst/>
        </a:prstGeom>
        <a:solidFill>
          <a:srgbClr xmlns:mc="http://schemas.openxmlformats.org/markup-compatibility/2006" xmlns:a14="http://schemas.microsoft.com/office/drawing/2010/main" val="000080" mc:Ignorable="a14" a14:legacySpreadsheetColorIndex="1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29</xdr:row>
      <xdr:rowOff>57150</xdr:rowOff>
    </xdr:from>
    <xdr:to>
      <xdr:col>5</xdr:col>
      <xdr:colOff>133350</xdr:colOff>
      <xdr:row>29</xdr:row>
      <xdr:rowOff>152400</xdr:rowOff>
    </xdr:to>
    <xdr:sp macro="" textlink="">
      <xdr:nvSpPr>
        <xdr:cNvPr id="1304" name="Rectangle 4">
          <a:extLst>
            <a:ext uri="{FF2B5EF4-FFF2-40B4-BE49-F238E27FC236}">
              <a16:creationId xmlns:a16="http://schemas.microsoft.com/office/drawing/2014/main" id="{3B345231-E047-A878-9E2A-298D892B1BE1}"/>
            </a:ext>
          </a:extLst>
        </xdr:cNvPr>
        <xdr:cNvSpPr>
          <a:spLocks noChangeArrowheads="1"/>
        </xdr:cNvSpPr>
      </xdr:nvSpPr>
      <xdr:spPr bwMode="auto">
        <a:xfrm>
          <a:off x="3933825" y="6000750"/>
          <a:ext cx="857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80" mc:Ignorable="a14" a14:legacySpreadsheetColorIndex="2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47625</xdr:colOff>
      <xdr:row>35</xdr:row>
      <xdr:rowOff>47625</xdr:rowOff>
    </xdr:from>
    <xdr:to>
      <xdr:col>5</xdr:col>
      <xdr:colOff>161925</xdr:colOff>
      <xdr:row>35</xdr:row>
      <xdr:rowOff>161925</xdr:rowOff>
    </xdr:to>
    <xdr:sp macro="" textlink="">
      <xdr:nvSpPr>
        <xdr:cNvPr id="1305" name="AutoShape 5">
          <a:extLst>
            <a:ext uri="{FF2B5EF4-FFF2-40B4-BE49-F238E27FC236}">
              <a16:creationId xmlns:a16="http://schemas.microsoft.com/office/drawing/2014/main" id="{9A624E95-98F9-A628-342C-EF7BF1F7299B}"/>
            </a:ext>
          </a:extLst>
        </xdr:cNvPr>
        <xdr:cNvSpPr>
          <a:spLocks noChangeArrowheads="1"/>
        </xdr:cNvSpPr>
      </xdr:nvSpPr>
      <xdr:spPr bwMode="auto">
        <a:xfrm>
          <a:off x="3933825" y="7286625"/>
          <a:ext cx="1143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48"/>
  <sheetViews>
    <sheetView tabSelected="1" workbookViewId="0">
      <selection activeCell="J1" sqref="J1:K1"/>
    </sheetView>
  </sheetViews>
  <sheetFormatPr defaultRowHeight="12.75" x14ac:dyDescent="0.2"/>
  <cols>
    <col min="1" max="1" width="15.42578125" customWidth="1"/>
    <col min="2" max="2" width="11.42578125" bestFit="1" customWidth="1"/>
    <col min="3" max="3" width="10" style="2" customWidth="1"/>
    <col min="4" max="4" width="11.7109375" style="43" customWidth="1"/>
    <col min="5" max="5" width="9.7109375" style="3" customWidth="1"/>
    <col min="6" max="6" width="11.7109375" style="5" customWidth="1"/>
    <col min="7" max="7" width="13.5703125" customWidth="1"/>
  </cols>
  <sheetData>
    <row r="1" spans="1:25" s="7" customFormat="1" ht="18" customHeight="1" thickTop="1" thickBot="1" x14ac:dyDescent="0.25">
      <c r="A1" s="9" t="s">
        <v>0</v>
      </c>
      <c r="B1" s="9"/>
      <c r="C1" s="33"/>
      <c r="D1" s="42"/>
      <c r="E1" s="10" t="s">
        <v>18</v>
      </c>
      <c r="F1" s="26" t="s">
        <v>19</v>
      </c>
      <c r="H1" s="7" t="s">
        <v>38</v>
      </c>
      <c r="J1" s="84"/>
      <c r="K1" s="85"/>
      <c r="Q1" s="81" t="s">
        <v>49</v>
      </c>
    </row>
    <row r="2" spans="1:25" s="7" customFormat="1" ht="12" customHeight="1" thickTop="1" x14ac:dyDescent="0.2">
      <c r="A2" s="9"/>
      <c r="B2" s="9"/>
      <c r="C2" s="33"/>
      <c r="D2" s="42"/>
      <c r="E2" s="10"/>
      <c r="F2" s="26"/>
    </row>
    <row r="3" spans="1:25" s="7" customFormat="1" ht="18" customHeight="1" x14ac:dyDescent="0.2">
      <c r="A3" s="11"/>
      <c r="B3" s="11"/>
      <c r="C3" s="34" t="s">
        <v>24</v>
      </c>
      <c r="D3" s="29" t="s">
        <v>20</v>
      </c>
      <c r="E3" s="29" t="s">
        <v>21</v>
      </c>
      <c r="F3" s="27" t="s">
        <v>17</v>
      </c>
    </row>
    <row r="4" spans="1:25" s="7" customFormat="1" ht="12" customHeight="1" x14ac:dyDescent="0.2">
      <c r="A4" s="11"/>
      <c r="B4" s="11"/>
      <c r="C4" s="34"/>
      <c r="D4" s="13"/>
      <c r="E4" s="13"/>
      <c r="F4" s="28"/>
    </row>
    <row r="5" spans="1:25" s="7" customFormat="1" ht="18" customHeight="1" x14ac:dyDescent="0.2">
      <c r="A5" s="11" t="s">
        <v>1</v>
      </c>
      <c r="B5" s="11"/>
      <c r="C5" s="34"/>
      <c r="D5" s="13">
        <v>1342.5</v>
      </c>
      <c r="E5" s="70">
        <v>2.4329999999999998</v>
      </c>
      <c r="F5" s="28">
        <f>D5*E5</f>
        <v>3266.3024999999998</v>
      </c>
    </row>
    <row r="6" spans="1:25" s="7" customFormat="1" ht="12" customHeight="1" thickBot="1" x14ac:dyDescent="0.25">
      <c r="A6" s="11"/>
      <c r="B6" s="11"/>
      <c r="C6" s="34"/>
      <c r="D6" s="13"/>
      <c r="E6" s="13"/>
      <c r="F6" s="28"/>
    </row>
    <row r="7" spans="1:25" s="7" customFormat="1" ht="18" customHeight="1" thickTop="1" thickBot="1" x14ac:dyDescent="0.25">
      <c r="A7" s="11" t="s">
        <v>2</v>
      </c>
      <c r="B7" s="37"/>
      <c r="C7" s="36" t="s">
        <v>3</v>
      </c>
      <c r="D7" s="52"/>
      <c r="E7" s="30">
        <v>2.2999999999999998</v>
      </c>
      <c r="F7" s="28">
        <f>D7*E7</f>
        <v>0</v>
      </c>
    </row>
    <row r="8" spans="1:25" s="7" customFormat="1" ht="18" customHeight="1" thickTop="1" thickBot="1" x14ac:dyDescent="0.25">
      <c r="A8" s="11"/>
      <c r="B8" s="37"/>
      <c r="C8" s="36" t="s">
        <v>4</v>
      </c>
      <c r="D8" s="52"/>
      <c r="E8" s="30">
        <v>2.2999999999999998</v>
      </c>
      <c r="F8" s="28">
        <f>D8*E8</f>
        <v>0</v>
      </c>
    </row>
    <row r="9" spans="1:25" s="7" customFormat="1" ht="12" customHeight="1" thickTop="1" thickBot="1" x14ac:dyDescent="0.25">
      <c r="A9" s="11"/>
      <c r="B9" s="11"/>
      <c r="C9" s="34"/>
      <c r="D9" s="13"/>
      <c r="E9" s="13"/>
      <c r="F9" s="28"/>
    </row>
    <row r="10" spans="1:25" s="7" customFormat="1" ht="18" customHeight="1" thickTop="1" thickBot="1" x14ac:dyDescent="0.25">
      <c r="A10" s="11" t="s">
        <v>14</v>
      </c>
      <c r="B10" s="37"/>
      <c r="C10" s="36" t="s">
        <v>5</v>
      </c>
      <c r="D10" s="52"/>
      <c r="E10" s="30">
        <v>3.25</v>
      </c>
      <c r="F10" s="28">
        <f>D10*E10</f>
        <v>0</v>
      </c>
      <c r="X10"/>
      <c r="Y10"/>
    </row>
    <row r="11" spans="1:25" s="7" customFormat="1" ht="18" customHeight="1" thickTop="1" thickBot="1" x14ac:dyDescent="0.25">
      <c r="A11" s="11"/>
      <c r="B11" s="37"/>
      <c r="C11" s="36" t="s">
        <v>6</v>
      </c>
      <c r="D11" s="52"/>
      <c r="E11" s="30">
        <v>3.25</v>
      </c>
      <c r="F11" s="28">
        <f>D11*E11</f>
        <v>0</v>
      </c>
      <c r="X11"/>
      <c r="Y11"/>
    </row>
    <row r="12" spans="1:25" s="7" customFormat="1" ht="12" customHeight="1" thickTop="1" thickBot="1" x14ac:dyDescent="0.25">
      <c r="A12" s="11"/>
      <c r="B12" s="11"/>
      <c r="C12" s="34"/>
      <c r="D12" s="13"/>
      <c r="E12" s="13"/>
      <c r="F12" s="28"/>
      <c r="X12"/>
      <c r="Y12"/>
    </row>
    <row r="13" spans="1:25" s="7" customFormat="1" ht="18" customHeight="1" thickTop="1" thickBot="1" x14ac:dyDescent="0.25">
      <c r="A13" s="11" t="s">
        <v>7</v>
      </c>
      <c r="B13" s="65" t="s">
        <v>26</v>
      </c>
      <c r="C13" s="36" t="s">
        <v>23</v>
      </c>
      <c r="D13" s="52"/>
      <c r="E13" s="30">
        <v>0.6</v>
      </c>
      <c r="F13" s="28">
        <f>D13*E13</f>
        <v>0</v>
      </c>
      <c r="X13"/>
      <c r="Y13"/>
    </row>
    <row r="14" spans="1:25" s="7" customFormat="1" ht="18" customHeight="1" thickTop="1" thickBot="1" x14ac:dyDescent="0.25">
      <c r="A14" s="11"/>
      <c r="B14" s="65" t="s">
        <v>27</v>
      </c>
      <c r="C14" s="36" t="s">
        <v>7</v>
      </c>
      <c r="D14" s="52"/>
      <c r="E14" s="30">
        <v>3.89</v>
      </c>
      <c r="F14" s="28">
        <f>D14*E14</f>
        <v>0</v>
      </c>
      <c r="J14" t="s">
        <v>36</v>
      </c>
      <c r="K14"/>
      <c r="X14"/>
      <c r="Y14"/>
    </row>
    <row r="15" spans="1:25" s="7" customFormat="1" ht="18" customHeight="1" thickTop="1" thickBot="1" x14ac:dyDescent="0.25">
      <c r="A15" s="11"/>
      <c r="B15" s="65" t="s">
        <v>46</v>
      </c>
      <c r="C15" s="36" t="s">
        <v>47</v>
      </c>
      <c r="D15" s="52"/>
      <c r="E15" s="30">
        <v>4.54</v>
      </c>
      <c r="F15" s="28">
        <f>D15*E15</f>
        <v>0</v>
      </c>
      <c r="J15">
        <v>2.35</v>
      </c>
      <c r="K15">
        <v>1250</v>
      </c>
      <c r="X15"/>
      <c r="Y15"/>
    </row>
    <row r="16" spans="1:25" s="7" customFormat="1" ht="18" customHeight="1" thickTop="1" thickBot="1" x14ac:dyDescent="0.25">
      <c r="A16" s="11"/>
      <c r="B16" s="99" t="s">
        <v>45</v>
      </c>
      <c r="C16" s="100"/>
      <c r="D16" s="101"/>
      <c r="E16" s="13"/>
      <c r="F16" s="28"/>
      <c r="J16">
        <v>2.35</v>
      </c>
      <c r="K16">
        <v>1468</v>
      </c>
      <c r="X16"/>
      <c r="Y16"/>
    </row>
    <row r="17" spans="1:25" s="7" customFormat="1" ht="18" customHeight="1" thickTop="1" thickBot="1" x14ac:dyDescent="0.25">
      <c r="A17" s="11" t="s">
        <v>22</v>
      </c>
      <c r="B17" s="65" t="s">
        <v>39</v>
      </c>
      <c r="C17" s="68"/>
      <c r="D17" s="52">
        <v>33</v>
      </c>
      <c r="E17" s="30">
        <v>1</v>
      </c>
      <c r="F17" s="28">
        <f>D17*E17</f>
        <v>33</v>
      </c>
      <c r="J17">
        <v>2.4</v>
      </c>
      <c r="K17">
        <v>1785</v>
      </c>
      <c r="X17" s="56"/>
      <c r="Y17"/>
    </row>
    <row r="18" spans="1:25" s="7" customFormat="1" ht="12" customHeight="1" thickTop="1" thickBot="1" x14ac:dyDescent="0.25">
      <c r="A18" s="11"/>
      <c r="B18" s="11"/>
      <c r="C18" s="34"/>
      <c r="D18" s="13"/>
      <c r="E18" s="13"/>
      <c r="F18" s="28"/>
      <c r="J18">
        <v>2.4900000000000002</v>
      </c>
      <c r="K18">
        <v>1785</v>
      </c>
    </row>
    <row r="19" spans="1:25" s="7" customFormat="1" ht="18" customHeight="1" thickTop="1" thickBot="1" x14ac:dyDescent="0.25">
      <c r="A19" s="12" t="s">
        <v>35</v>
      </c>
      <c r="B19" s="38"/>
      <c r="C19" s="35"/>
      <c r="D19" s="51">
        <f>SUM(D4:D18)</f>
        <v>1375.5</v>
      </c>
      <c r="E19" s="51">
        <f>F19/D19</f>
        <v>2.3986205016357687</v>
      </c>
      <c r="F19" s="28">
        <f>SUM(F4:F18)</f>
        <v>3299.3024999999998</v>
      </c>
      <c r="H19" s="9"/>
      <c r="J19">
        <v>2.4900000000000002</v>
      </c>
      <c r="K19">
        <v>1600</v>
      </c>
    </row>
    <row r="20" spans="1:25" s="7" customFormat="1" ht="18" customHeight="1" thickTop="1" thickBot="1" x14ac:dyDescent="0.25">
      <c r="A20" s="79" t="s">
        <v>43</v>
      </c>
      <c r="B20" s="80">
        <v>1650</v>
      </c>
      <c r="C20" s="34"/>
      <c r="D20" s="31">
        <f>D19-B20</f>
        <v>-274.5</v>
      </c>
      <c r="E20" s="49">
        <f>D20/D19</f>
        <v>-0.19956379498364232</v>
      </c>
      <c r="F20" s="50" t="str">
        <f>IF(D20&gt;0,"OVER","")</f>
        <v/>
      </c>
      <c r="J20">
        <v>2.42</v>
      </c>
      <c r="K20">
        <v>1250</v>
      </c>
    </row>
    <row r="21" spans="1:25" s="7" customFormat="1" ht="12" customHeight="1" thickTop="1" thickBot="1" x14ac:dyDescent="0.25">
      <c r="A21" s="11"/>
      <c r="B21" s="11"/>
      <c r="C21" s="34"/>
      <c r="D21" s="13"/>
      <c r="E21" s="13"/>
      <c r="F21" s="28"/>
    </row>
    <row r="22" spans="1:25" s="7" customFormat="1" ht="18" customHeight="1" thickTop="1" thickBot="1" x14ac:dyDescent="0.25">
      <c r="A22" s="11" t="s">
        <v>34</v>
      </c>
      <c r="B22" s="25" t="s">
        <v>31</v>
      </c>
      <c r="C22" s="55">
        <v>189</v>
      </c>
      <c r="D22" s="13">
        <f>C22*0.8</f>
        <v>151.20000000000002</v>
      </c>
      <c r="E22" s="30">
        <v>2.63</v>
      </c>
      <c r="F22" s="28">
        <f>D22*E22</f>
        <v>397.65600000000001</v>
      </c>
    </row>
    <row r="23" spans="1:25" s="7" customFormat="1" ht="18" customHeight="1" thickTop="1" thickBot="1" x14ac:dyDescent="0.25">
      <c r="A23" s="11"/>
      <c r="B23" s="25" t="s">
        <v>32</v>
      </c>
      <c r="C23" s="55">
        <v>0</v>
      </c>
      <c r="D23" s="13">
        <f>C23*0.8</f>
        <v>0</v>
      </c>
      <c r="E23" s="30">
        <v>3.2</v>
      </c>
      <c r="F23" s="28">
        <f>D23*E23</f>
        <v>0</v>
      </c>
    </row>
    <row r="24" spans="1:25" s="7" customFormat="1" ht="18" customHeight="1" thickTop="1" thickBot="1" x14ac:dyDescent="0.25">
      <c r="A24" s="11"/>
      <c r="B24" s="78" t="s">
        <v>44</v>
      </c>
      <c r="C24" s="77">
        <f>SUM(C22:C23)</f>
        <v>189</v>
      </c>
      <c r="D24" s="30"/>
      <c r="E24" s="13"/>
      <c r="F24" s="28"/>
    </row>
    <row r="25" spans="1:25" s="7" customFormat="1" ht="18" customHeight="1" thickTop="1" thickBot="1" x14ac:dyDescent="0.25">
      <c r="A25" s="12" t="s">
        <v>28</v>
      </c>
      <c r="B25" s="38"/>
      <c r="C25" s="76"/>
      <c r="D25" s="51">
        <f>D19+D22+D23</f>
        <v>1526.7</v>
      </c>
      <c r="E25" s="51">
        <f>F25/D25</f>
        <v>2.4215356651601492</v>
      </c>
      <c r="F25" s="28">
        <f>SUM(F19:F24)</f>
        <v>3696.9584999999997</v>
      </c>
    </row>
    <row r="26" spans="1:25" s="7" customFormat="1" ht="18" customHeight="1" thickTop="1" thickBot="1" x14ac:dyDescent="0.25">
      <c r="A26" s="79" t="s">
        <v>43</v>
      </c>
      <c r="B26" s="80">
        <v>1785</v>
      </c>
      <c r="C26" s="34"/>
      <c r="D26" s="31">
        <f>D25-B26</f>
        <v>-258.29999999999995</v>
      </c>
      <c r="E26" s="49">
        <f>D26/D25</f>
        <v>-0.16918844566712513</v>
      </c>
      <c r="F26" s="50" t="str">
        <f>IF(D26&gt;0,"OVER","")</f>
        <v/>
      </c>
    </row>
    <row r="27" spans="1:25" s="7" customFormat="1" ht="12" customHeight="1" thickTop="1" thickBot="1" x14ac:dyDescent="0.25">
      <c r="A27" s="11"/>
      <c r="B27" s="11"/>
      <c r="C27" s="34"/>
      <c r="D27" s="13"/>
      <c r="E27" s="13"/>
      <c r="F27" s="28"/>
    </row>
    <row r="28" spans="1:25" s="7" customFormat="1" ht="18" customHeight="1" thickTop="1" thickBot="1" x14ac:dyDescent="0.25">
      <c r="A28" s="11" t="s">
        <v>29</v>
      </c>
      <c r="B28" s="48" t="s">
        <v>30</v>
      </c>
      <c r="C28" s="55">
        <v>5</v>
      </c>
      <c r="D28" s="13">
        <f>C28*0.8</f>
        <v>4</v>
      </c>
      <c r="E28" s="30">
        <v>2.63</v>
      </c>
      <c r="F28" s="28">
        <f>D28*E28</f>
        <v>10.52</v>
      </c>
    </row>
    <row r="29" spans="1:25" s="7" customFormat="1" ht="12" customHeight="1" thickTop="1" thickBot="1" x14ac:dyDescent="0.25">
      <c r="A29" s="11"/>
      <c r="B29" s="11"/>
      <c r="C29" s="34"/>
      <c r="D29" s="13"/>
      <c r="E29" s="13"/>
      <c r="F29" s="28"/>
    </row>
    <row r="30" spans="1:25" s="7" customFormat="1" ht="18" customHeight="1" thickTop="1" thickBot="1" x14ac:dyDescent="0.25">
      <c r="A30" s="12" t="s">
        <v>13</v>
      </c>
      <c r="B30" s="38"/>
      <c r="C30" s="35"/>
      <c r="D30" s="51">
        <f>D25-D28</f>
        <v>1522.7</v>
      </c>
      <c r="E30" s="51">
        <f>F30/D30</f>
        <v>2.4209880475471199</v>
      </c>
      <c r="F30" s="28">
        <f>F25-F28</f>
        <v>3686.4384999999997</v>
      </c>
    </row>
    <row r="31" spans="1:25" s="7" customFormat="1" ht="18" customHeight="1" thickTop="1" thickBot="1" x14ac:dyDescent="0.25">
      <c r="A31" s="79" t="s">
        <v>43</v>
      </c>
      <c r="B31" s="80">
        <v>1785</v>
      </c>
      <c r="C31" s="34"/>
      <c r="D31" s="31">
        <f>D30-B31</f>
        <v>-262.29999999999995</v>
      </c>
      <c r="E31" s="49">
        <f>D31/D30</f>
        <v>-0.17225980166808955</v>
      </c>
      <c r="F31" s="50" t="str">
        <f>IF(D31&gt;0,"OVER","")</f>
        <v/>
      </c>
    </row>
    <row r="32" spans="1:25" s="7" customFormat="1" ht="12" customHeight="1" thickTop="1" thickBot="1" x14ac:dyDescent="0.25">
      <c r="A32" s="69" t="str">
        <f>IF(D37&gt;0,"WARNING:","")</f>
        <v/>
      </c>
      <c r="B32" s="71" t="str">
        <f>IF(D37&gt;0,((D30-B37)/(42*0.8)),"")</f>
        <v/>
      </c>
      <c r="C32" s="90" t="str">
        <f>IF(D37&gt;0," hrs flying required to reach max landing weight","")</f>
        <v/>
      </c>
      <c r="D32" s="91"/>
      <c r="E32" s="91"/>
      <c r="F32" s="92"/>
    </row>
    <row r="33" spans="1:17" s="7" customFormat="1" ht="18" customHeight="1" thickTop="1" thickBot="1" x14ac:dyDescent="0.25">
      <c r="A33" s="11" t="s">
        <v>33</v>
      </c>
      <c r="B33" s="66"/>
      <c r="C33" s="72">
        <f>B33*42</f>
        <v>0</v>
      </c>
      <c r="D33" s="13">
        <f>C33*0.8</f>
        <v>0</v>
      </c>
      <c r="E33" s="30">
        <v>2.63</v>
      </c>
      <c r="F33" s="28">
        <f>(D22+D23-D33)*E33</f>
        <v>397.65600000000001</v>
      </c>
    </row>
    <row r="34" spans="1:17" s="7" customFormat="1" ht="18" customHeight="1" thickTop="1" thickBot="1" x14ac:dyDescent="0.25">
      <c r="A34" s="75" t="s">
        <v>41</v>
      </c>
      <c r="B34" s="96" t="str">
        <f>IF(B35&lt;0.75,"WARNING: Fuel reserve less than 45 mins at destination","")</f>
        <v/>
      </c>
      <c r="C34" s="97"/>
      <c r="D34" s="97"/>
      <c r="E34" s="97"/>
      <c r="F34" s="98"/>
    </row>
    <row r="35" spans="1:17" s="7" customFormat="1" ht="18" customHeight="1" thickTop="1" thickBot="1" x14ac:dyDescent="0.25">
      <c r="A35" s="73" t="s">
        <v>40</v>
      </c>
      <c r="B35" s="74">
        <f>C35/42</f>
        <v>4.5</v>
      </c>
      <c r="C35" s="72">
        <f>SUM(C22:C23)-C33</f>
        <v>189</v>
      </c>
      <c r="D35" s="93" t="s">
        <v>42</v>
      </c>
      <c r="E35" s="94"/>
      <c r="F35" s="95"/>
    </row>
    <row r="36" spans="1:17" s="7" customFormat="1" ht="18" customHeight="1" thickTop="1" thickBot="1" x14ac:dyDescent="0.25">
      <c r="A36" s="12" t="s">
        <v>25</v>
      </c>
      <c r="D36" s="51">
        <f>D30-D33</f>
        <v>1522.7</v>
      </c>
      <c r="E36" s="51">
        <f>F36/D36</f>
        <v>2.4209880475471199</v>
      </c>
      <c r="F36" s="28">
        <f>F19-F28+F33</f>
        <v>3686.4384999999997</v>
      </c>
    </row>
    <row r="37" spans="1:17" s="7" customFormat="1" ht="18" customHeight="1" thickTop="1" x14ac:dyDescent="0.2">
      <c r="A37" s="79" t="s">
        <v>43</v>
      </c>
      <c r="B37" s="80">
        <v>1700</v>
      </c>
      <c r="C37" s="35"/>
      <c r="D37" s="62">
        <f>D36-B37</f>
        <v>-177.29999999999995</v>
      </c>
      <c r="E37" s="63">
        <f>D37/D36</f>
        <v>-0.11643790635056146</v>
      </c>
      <c r="F37" s="64" t="str">
        <f>IF(D37&gt;0,"OVER","")</f>
        <v/>
      </c>
      <c r="G37" s="32"/>
    </row>
    <row r="38" spans="1:17" s="7" customFormat="1" ht="26.25" customHeight="1" x14ac:dyDescent="0.2">
      <c r="A38" s="67"/>
      <c r="B38" s="82" t="s">
        <v>37</v>
      </c>
      <c r="C38" s="82"/>
      <c r="D38" s="82"/>
      <c r="E38" s="82"/>
      <c r="F38" s="83"/>
    </row>
    <row r="39" spans="1:17" s="7" customFormat="1" ht="47.25" customHeight="1" x14ac:dyDescent="0.2">
      <c r="A39" s="86" t="s">
        <v>48</v>
      </c>
      <c r="B39" s="87"/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9"/>
    </row>
    <row r="40" spans="1:17" s="7" customFormat="1" x14ac:dyDescent="0.2">
      <c r="A40" s="57"/>
      <c r="B40" s="57"/>
      <c r="C40" s="58"/>
      <c r="D40" s="59"/>
      <c r="E40" s="60"/>
      <c r="F40" s="61"/>
    </row>
    <row r="41" spans="1:17" x14ac:dyDescent="0.2">
      <c r="A41" s="24" t="s">
        <v>16</v>
      </c>
      <c r="B41" s="24"/>
      <c r="E41" s="8"/>
    </row>
    <row r="42" spans="1:17" x14ac:dyDescent="0.2">
      <c r="A42" s="24"/>
      <c r="B42" s="24"/>
    </row>
    <row r="43" spans="1:17" x14ac:dyDescent="0.2">
      <c r="A43" s="14" t="s">
        <v>10</v>
      </c>
      <c r="B43" s="39"/>
      <c r="C43" s="16" t="s">
        <v>8</v>
      </c>
      <c r="D43" s="44" t="s">
        <v>9</v>
      </c>
      <c r="E43" s="23" t="s">
        <v>15</v>
      </c>
      <c r="F43" s="17" t="s">
        <v>12</v>
      </c>
    </row>
    <row r="44" spans="1:17" x14ac:dyDescent="0.2">
      <c r="A44" s="15"/>
      <c r="B44" s="40"/>
      <c r="C44" s="53">
        <v>9</v>
      </c>
      <c r="D44" s="54">
        <v>7</v>
      </c>
      <c r="E44" s="18">
        <f>(C44*14)+D44</f>
        <v>133</v>
      </c>
      <c r="F44" s="19">
        <f>E44/2.2</f>
        <v>60.454545454545446</v>
      </c>
    </row>
    <row r="45" spans="1:17" x14ac:dyDescent="0.2">
      <c r="A45" s="1"/>
      <c r="B45" s="1"/>
      <c r="D45" s="45"/>
      <c r="E45" s="4"/>
      <c r="F45" s="6"/>
    </row>
    <row r="46" spans="1:17" x14ac:dyDescent="0.2">
      <c r="A46" s="20" t="s">
        <v>10</v>
      </c>
      <c r="B46" s="41"/>
      <c r="C46" s="16" t="s">
        <v>12</v>
      </c>
      <c r="D46" s="46"/>
      <c r="E46" s="23" t="s">
        <v>11</v>
      </c>
      <c r="F46" s="17" t="s">
        <v>9</v>
      </c>
    </row>
    <row r="47" spans="1:17" x14ac:dyDescent="0.2">
      <c r="A47" s="21"/>
      <c r="B47" s="18"/>
      <c r="C47" s="53">
        <v>83</v>
      </c>
      <c r="D47" s="47"/>
      <c r="E47" s="22"/>
      <c r="F47" s="19">
        <f>C47*2.2</f>
        <v>182.60000000000002</v>
      </c>
    </row>
    <row r="48" spans="1:17" x14ac:dyDescent="0.2">
      <c r="A48" s="1"/>
      <c r="B48" s="1"/>
    </row>
  </sheetData>
  <sheetProtection algorithmName="SHA-512" hashValue="sGGvNLoLLhwfTxZzDvQ6TtiheSxFaTBJfrkLbFROBol5FsH9LYgXY2J/vDVrGcsDXPuPANC1xg1cKZRiOdjRLw==" saltValue="rGfW7W9nRdApUibID4a6Fw==" spinCount="100000" sheet="1" objects="1" scenarios="1"/>
  <mergeCells count="7">
    <mergeCell ref="B38:F38"/>
    <mergeCell ref="J1:K1"/>
    <mergeCell ref="A39:Q39"/>
    <mergeCell ref="C32:F32"/>
    <mergeCell ref="D35:F35"/>
    <mergeCell ref="B34:F34"/>
    <mergeCell ref="B16:D16"/>
  </mergeCells>
  <phoneticPr fontId="0" type="noConversion"/>
  <conditionalFormatting sqref="D20 D26 D31 D37">
    <cfRule type="cellIs" dxfId="16" priority="18" stopIfTrue="1" operator="lessThanOrEqual">
      <formula>0</formula>
    </cfRule>
    <cfRule type="cellIs" dxfId="15" priority="19" stopIfTrue="1" operator="greaterThan">
      <formula>0</formula>
    </cfRule>
  </conditionalFormatting>
  <conditionalFormatting sqref="D19:E19 D25:E25 D30:E30 D36:E36">
    <cfRule type="expression" dxfId="14" priority="20" stopIfTrue="1">
      <formula>$D20&lt;=0</formula>
    </cfRule>
    <cfRule type="expression" dxfId="13" priority="21" stopIfTrue="1">
      <formula>$D20&gt;0</formula>
    </cfRule>
  </conditionalFormatting>
  <conditionalFormatting sqref="D17">
    <cfRule type="expression" dxfId="12" priority="17" stopIfTrue="1">
      <formula>$D$17&gt;33</formula>
    </cfRule>
  </conditionalFormatting>
  <conditionalFormatting sqref="C35">
    <cfRule type="expression" dxfId="11" priority="13" stopIfTrue="1">
      <formula>$C35&gt;=31.5</formula>
    </cfRule>
    <cfRule type="expression" dxfId="10" priority="14" stopIfTrue="1">
      <formula>$C35&lt;31.5</formula>
    </cfRule>
  </conditionalFormatting>
  <conditionalFormatting sqref="C33">
    <cfRule type="expression" dxfId="9" priority="9" stopIfTrue="1">
      <formula>$C33&lt;=SUM($C$22:$C$23)</formula>
    </cfRule>
    <cfRule type="expression" dxfId="8" priority="10" stopIfTrue="1">
      <formula>$C33&gt;SUM($C$22:$C$23)</formula>
    </cfRule>
  </conditionalFormatting>
  <conditionalFormatting sqref="B35">
    <cfRule type="expression" dxfId="7" priority="7" stopIfTrue="1">
      <formula>$B$35&gt;=0.75</formula>
    </cfRule>
    <cfRule type="expression" dxfId="6" priority="8" stopIfTrue="1">
      <formula>$B$35&lt;0.75</formula>
    </cfRule>
  </conditionalFormatting>
  <conditionalFormatting sqref="B16">
    <cfRule type="expression" dxfId="5" priority="6" stopIfTrue="1">
      <formula>$D$14+$D$15&gt;45</formula>
    </cfRule>
  </conditionalFormatting>
  <conditionalFormatting sqref="D15">
    <cfRule type="expression" dxfId="4" priority="1" stopIfTrue="1">
      <formula>$D$14+$D$15&gt;45</formula>
    </cfRule>
    <cfRule type="expression" dxfId="3" priority="5" stopIfTrue="1">
      <formula>$D$15&gt;18</formula>
    </cfRule>
  </conditionalFormatting>
  <conditionalFormatting sqref="D13">
    <cfRule type="expression" dxfId="2" priority="4" stopIfTrue="1">
      <formula>$D$13&gt;30</formula>
    </cfRule>
  </conditionalFormatting>
  <conditionalFormatting sqref="D14">
    <cfRule type="expression" dxfId="1" priority="2" stopIfTrue="1">
      <formula>$D$14+$D$15&gt;45</formula>
    </cfRule>
    <cfRule type="expression" dxfId="0" priority="3" stopIfTrue="1">
      <formula>$D$14&gt;45</formula>
    </cfRule>
  </conditionalFormatting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G-SUEI</vt:lpstr>
      <vt:lpstr>'G-SUEI'!Print_Area</vt:lpstr>
    </vt:vector>
  </TitlesOfParts>
  <Company>Pangolin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Cullum</dc:creator>
  <cp:lastModifiedBy>KGCullum</cp:lastModifiedBy>
  <cp:lastPrinted>2022-07-08T12:11:15Z</cp:lastPrinted>
  <dcterms:created xsi:type="dcterms:W3CDTF">2008-05-13T21:24:04Z</dcterms:created>
  <dcterms:modified xsi:type="dcterms:W3CDTF">2022-07-11T10:45:46Z</dcterms:modified>
</cp:coreProperties>
</file>